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9100" windowHeight="14660" tabRatio="717" activeTab="1"/>
  </bookViews>
  <sheets>
    <sheet name="UF Calculation" sheetId="26" r:id="rId1"/>
    <sheet name="RO Calculation" sheetId="6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<sst xmlns="http://schemas.openxmlformats.org/spreadsheetml/2006/main" count="297" uniqueCount="161">
  <si>
    <t>Number</t>
  </si>
  <si>
    <t>Project</t>
  </si>
  <si>
    <t>Value</t>
  </si>
  <si>
    <t>Unit</t>
  </si>
  <si>
    <t>Note</t>
  </si>
  <si>
    <t>一、</t>
  </si>
  <si>
    <t>UF System</t>
  </si>
  <si>
    <t>Effective Membrane Area per /Element</t>
  </si>
  <si>
    <r>
      <rPr>
        <sz val="10"/>
        <rFont val="Arial"/>
        <charset val="134"/>
      </rPr>
      <t>m</t>
    </r>
    <r>
      <rPr>
        <vertAlign val="superscript"/>
        <sz val="10"/>
        <rFont val="Arial"/>
        <charset val="134"/>
      </rPr>
      <t>2</t>
    </r>
  </si>
  <si>
    <t>Design Membrane Flux</t>
  </si>
  <si>
    <t>LMH</t>
  </si>
  <si>
    <t>Values Taken per Product Manual</t>
  </si>
  <si>
    <t>Total UF Permeate Flow (RO Feed)</t>
  </si>
  <si>
    <r>
      <rPr>
        <sz val="10"/>
        <rFont val="Arial"/>
        <charset val="134"/>
      </rPr>
      <t>m</t>
    </r>
    <r>
      <rPr>
        <vertAlign val="superscript"/>
        <sz val="10"/>
        <rFont val="Arial"/>
        <charset val="134"/>
      </rPr>
      <t>3</t>
    </r>
    <r>
      <rPr>
        <sz val="10"/>
        <rFont val="Arial"/>
        <charset val="134"/>
      </rPr>
      <t>/h</t>
    </r>
  </si>
  <si>
    <t>Crossflow Filtration, Calculated Based on RO Feedwater</t>
  </si>
  <si>
    <t>Calculated Total Membrane Area Required</t>
  </si>
  <si>
    <t>Calculated Number of Membrane Elements Required</t>
  </si>
  <si>
    <t>Pieces</t>
  </si>
  <si>
    <t>Number of UF Trains Selected</t>
  </si>
  <si>
    <t>Sets</t>
  </si>
  <si>
    <t>Membrane Area Required per UF Train</t>
  </si>
  <si>
    <t>Membrane Elements Required per UF Train</t>
  </si>
  <si>
    <t>Actual Number of Membrane Elements Installed per UF Train</t>
  </si>
  <si>
    <t>Total Number of UF Membrane Elements Installed</t>
  </si>
  <si>
    <t>Total Effective Membrane Area Installed</t>
  </si>
  <si>
    <t>Actual UF Membrane Flux</t>
  </si>
  <si>
    <t>二、</t>
  </si>
  <si>
    <t>UF Operation Design Calculation</t>
  </si>
  <si>
    <t>Filtration Time</t>
  </si>
  <si>
    <t>min</t>
  </si>
  <si>
    <t>Air Scour Duration</t>
  </si>
  <si>
    <t>s</t>
  </si>
  <si>
    <t>Backwash Time 1</t>
  </si>
  <si>
    <t>Backwash Time 2</t>
  </si>
  <si>
    <t>Forward Flush Duration</t>
  </si>
  <si>
    <t>Operating Cycles per Day</t>
  </si>
  <si>
    <t>Times</t>
  </si>
  <si>
    <t>Actual Operating Hours per Day</t>
  </si>
  <si>
    <t>Continuous Production Capacity per UF Train</t>
  </si>
  <si>
    <t>UF Actual Permeate Capacity per Hour (Excluding Backwash)</t>
  </si>
  <si>
    <t>Backwash Flux</t>
  </si>
  <si>
    <t>Backwash Flow per UF Train</t>
  </si>
  <si>
    <t>Backwash Water Volume: 0.8–1.5 × Design Permeate Flow, per Membrane Supplier Manual</t>
  </si>
  <si>
    <t>Backwash Water Volume per Cycle(Times)</t>
  </si>
  <si>
    <r>
      <rPr>
        <sz val="10"/>
        <rFont val="Arial"/>
        <charset val="134"/>
      </rPr>
      <t>m</t>
    </r>
    <r>
      <rPr>
        <vertAlign val="superscript"/>
        <sz val="10"/>
        <rFont val="Arial"/>
        <charset val="134"/>
      </rPr>
      <t>3</t>
    </r>
  </si>
  <si>
    <t>Total Backwash Water Volume per 24 h</t>
  </si>
  <si>
    <t>Forward Flush Water Volume per Cycl（Times）</t>
  </si>
  <si>
    <t>Total Forward Flush Water Volume per 24 h</t>
  </si>
  <si>
    <t>Backwash Water Volume Averaged per Piece-hour</t>
  </si>
  <si>
    <t>Forward Flush Water Volume Averaged per Piece-hour</t>
  </si>
  <si>
    <t>Actual UF Permeate Capacity</t>
  </si>
  <si>
    <t>CIP Interval (Cleaning Cycle Period)</t>
  </si>
  <si>
    <t>d</t>
  </si>
  <si>
    <t>三、</t>
  </si>
  <si>
    <t>CIP Tank Calculation</t>
  </si>
  <si>
    <t>Fill Volume per Membrane Element</t>
  </si>
  <si>
    <t>Based on Membrane Element Length and Diameter</t>
  </si>
  <si>
    <t>Fill Volume per UF Train</t>
  </si>
  <si>
    <t>Membrane Element Volume Fraction</t>
  </si>
  <si>
    <t>%</t>
  </si>
  <si>
    <t>Water Volume Required per UF Train</t>
  </si>
  <si>
    <t>CIP Piping Diameter</t>
  </si>
  <si>
    <t>mm</t>
  </si>
  <si>
    <t>CIP Piping Length</t>
  </si>
  <si>
    <t>m</t>
  </si>
  <si>
    <t>Water Volume in CIP Piping</t>
  </si>
  <si>
    <t>CIP Cartridge Filter Diameter</t>
  </si>
  <si>
    <t>Effective Height</t>
  </si>
  <si>
    <t>CIP Cartridge Filter Housing Volume</t>
  </si>
  <si>
    <t>Cartridge Occupied Volume Fraction in Filter Housing</t>
  </si>
  <si>
    <t>Water Volume in Cartridge Filter Housing</t>
  </si>
  <si>
    <t>Calculated CIP Tank Volume</t>
  </si>
  <si>
    <t>Adjusted CIP Tank Volume (with Factor)</t>
  </si>
  <si>
    <t>CIP Tank Volume Considering Recirculation</t>
  </si>
  <si>
    <t>Calculated CIP Tank Total Volume</t>
  </si>
  <si>
    <t>CIP Tank Sizing Volume</t>
  </si>
  <si>
    <t>四、</t>
  </si>
  <si>
    <t>UF CIP Chemical Dosing Tank Calculation</t>
  </si>
  <si>
    <t>NaClO Dosing Concentration</t>
  </si>
  <si>
    <r>
      <rPr>
        <sz val="10"/>
        <rFont val="Arial"/>
        <charset val="134"/>
      </rPr>
      <t>g/m</t>
    </r>
    <r>
      <rPr>
        <vertAlign val="superscript"/>
        <sz val="10"/>
        <rFont val="Arial"/>
        <charset val="134"/>
      </rPr>
      <t>3</t>
    </r>
  </si>
  <si>
    <t>NaClO Dosage per Hour</t>
  </si>
  <si>
    <t>kg/h</t>
  </si>
  <si>
    <t>Commercial Solution Concentration</t>
  </si>
  <si>
    <t>NaClO 10% Solution Consumption</t>
  </si>
  <si>
    <t>NaClO 10% Solution Volume</t>
  </si>
  <si>
    <t>L/h</t>
  </si>
  <si>
    <t>Density of 10% NaClO Solution: 1.1 g/cm³</t>
  </si>
  <si>
    <t>Daily Dosing Duration</t>
  </si>
  <si>
    <t>h</t>
  </si>
  <si>
    <t>Required Daily Volume of NaClO 10% Solution</t>
  </si>
  <si>
    <t>L</t>
  </si>
  <si>
    <t>Metering Pump Operating Flow Rate</t>
  </si>
  <si>
    <t>Metering Pump Duty</t>
  </si>
  <si>
    <t>Metering Pump Calculated Capacity</t>
  </si>
  <si>
    <t>Chemical Tank Capacity Calculation (Total)</t>
  </si>
  <si>
    <t>Dosing Interval</t>
  </si>
  <si>
    <t>Typical Requirement: &gt;48–120 Hours</t>
  </si>
  <si>
    <t>Chemical Tank Sizing Capacity</t>
  </si>
  <si>
    <t>NaOH Dosing Concentration</t>
  </si>
  <si>
    <t>mg/L</t>
  </si>
  <si>
    <t>NaOH Dosage per Hour</t>
  </si>
  <si>
    <t>100% Neat Chemical (As-supplied)</t>
  </si>
  <si>
    <t>NaOH 30% Solution Consumption</t>
  </si>
  <si>
    <t>NaOH 30% Solution Volume</t>
  </si>
  <si>
    <t>Density of 30% NaOH Solution: 1.37 g/cm³</t>
  </si>
  <si>
    <t>HCl Dosing Concentration</t>
  </si>
  <si>
    <t>HCl Dosage per Hour</t>
  </si>
  <si>
    <t>HCl 30% Solution Consumption</t>
  </si>
  <si>
    <t>HCl 30% Solution Volume</t>
  </si>
  <si>
    <t>Density of 30% HCl Solution: 1.149 g/cm³</t>
  </si>
  <si>
    <t>Required Daily Volume of HCl 30% Solution</t>
  </si>
  <si>
    <t>Reverse Osmosis Calculation</t>
  </si>
  <si>
    <t>RO Cleaning Tank</t>
  </si>
  <si>
    <t>Pressure Vessel Volume (6-element) /Single piece</t>
  </si>
  <si>
    <t>No. of Pressure Vessels</t>
  </si>
  <si>
    <t>Vessels</t>
  </si>
  <si>
    <t>Calculated by RO calculation software.</t>
  </si>
  <si>
    <t>Total Pressure Vessel Volume</t>
  </si>
  <si>
    <t>Volume Occupied by Membrane Elements (%)</t>
  </si>
  <si>
    <t>Water Volume inside Pressure Vessels</t>
  </si>
  <si>
    <t>Single piece</t>
  </si>
  <si>
    <t>Cleaning Piping Diameter</t>
  </si>
  <si>
    <t>Distance</t>
  </si>
  <si>
    <t>Piping Hold-up Volume</t>
  </si>
  <si>
    <t>Cleaning Cartridge Filter Diameter</t>
  </si>
  <si>
    <t>Cleaning Cartridge Filter Volume</t>
  </si>
  <si>
    <t xml:space="preserve">Filter Cartridge Volume Occupancy </t>
  </si>
  <si>
    <t>Cartridge Filter Hold-up Volume</t>
  </si>
  <si>
    <t>Calculated Cleaning Tank Total Volume</t>
  </si>
  <si>
    <t>Tank Volume after Applying Coefficient</t>
  </si>
  <si>
    <t>The coefficient is taken as 1.2.</t>
  </si>
  <si>
    <t>Recirculation Allowance Volume in Tank</t>
  </si>
  <si>
    <t>Final Required Cleaning Tank Volume</t>
  </si>
  <si>
    <t>Selected Cleaning Tank Capacity</t>
  </si>
  <si>
    <t>Cleaning Pump Calculation</t>
  </si>
  <si>
    <t>Cleaning Water Flow</t>
  </si>
  <si>
    <t>No. of Stage-1 Feed Pressure Vessels</t>
  </si>
  <si>
    <t>Cleaning Pump Flow Rate</t>
  </si>
  <si>
    <t>RO System Chemical Dosing Calculation</t>
  </si>
  <si>
    <t>Non-oxidizing Biocide Concentration</t>
  </si>
  <si>
    <t>Biocide Dosage (every dosing)</t>
  </si>
  <si>
    <t>Commercial Product Concentration</t>
  </si>
  <si>
    <t>Non-oxidizing Biocide 10% Solution Consumption</t>
  </si>
  <si>
    <t>Metering Pump Operating Flow</t>
  </si>
  <si>
    <t>Metering Pump Load</t>
  </si>
  <si>
    <t>Calculated Pump Capacity</t>
  </si>
  <si>
    <t>Calculated Day Tank Volume (total)</t>
  </si>
  <si>
    <t>Selected Day Tank Capacity</t>
  </si>
  <si>
    <t>Reducing Agent Concentration</t>
  </si>
  <si>
    <t>Reducing Agent Dosage (every day)</t>
  </si>
  <si>
    <t>kg/d</t>
  </si>
  <si>
    <t>or</t>
  </si>
  <si>
    <t>Reducing Agent 10% Solution Consumption</t>
  </si>
  <si>
    <t>L/d</t>
  </si>
  <si>
    <t xml:space="preserve">Calculated Day Tank Volume </t>
  </si>
  <si>
    <t>Selected Day Tank Capacity (total)</t>
  </si>
  <si>
    <t>Antiscalant Dosing</t>
  </si>
  <si>
    <t>Antiscalant Dosage (Single set)</t>
  </si>
  <si>
    <t>Antiscalant 10% Solution Consumption</t>
  </si>
  <si>
    <r>
      <rPr>
        <sz val="10"/>
        <rFont val="宋体"/>
        <charset val="134"/>
      </rPr>
      <t>Density</t>
    </r>
    <r>
      <rPr>
        <sz val="10"/>
        <rFont val="Arial"/>
        <charset val="134"/>
      </rPr>
      <t>1.37</t>
    </r>
  </si>
  <si>
    <t>Calculated Day Tank Volume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</si>
</sst>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9">
    <font>
      <sz val="10"/>
      <name val="楷体_GB2312"/>
      <charset val="134"/>
    </font>
    <font>
      <sz val="10"/>
      <name val="Arial"/>
      <charset val="134"/>
    </font>
    <font>
      <b/>
      <sz val="10"/>
      <color theme="0"/>
      <name val="宋体"/>
      <charset val="134"/>
    </font>
    <font>
      <b/>
      <sz val="10"/>
      <color theme="0"/>
      <name val="Arial"/>
      <charset val="134"/>
    </font>
    <font>
      <sz val="10"/>
      <name val="宋体"/>
      <charset val="134"/>
    </font>
    <font>
      <b/>
      <sz val="10"/>
      <color indexed="10"/>
      <name val="Arial"/>
      <charset val="134"/>
    </font>
    <font>
      <b/>
      <sz val="10"/>
      <color indexed="10"/>
      <name val="宋体"/>
      <charset val="134"/>
    </font>
    <font>
      <b/>
      <sz val="10"/>
      <color rgb="FFFF000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42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42"/>
      <name val="宋体"/>
      <charset val="134"/>
    </font>
    <font>
      <sz val="11"/>
      <color indexed="8"/>
      <name val="宋体"/>
      <charset val="134"/>
    </font>
    <font>
      <vertAlign val="superscript"/>
      <sz val="10"/>
      <name val="Arial"/>
      <charset val="134"/>
    </font>
  </fonts>
  <fills count="20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</fills>
  <borders count="10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1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0" fillId="7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" fillId="3" borderId="0" xfId="0" applyFont="1" applyFill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176" fontId="1" fillId="0" borderId="0" xfId="0" applyNumberFormat="1" applyFont="1" applyAlignment="1">
      <alignment horizontal="left" vertical="center"/>
    </xf>
    <xf numFmtId="176" fontId="4" fillId="0" borderId="0" xfId="0" applyNumberFormat="1" applyFont="1" applyAlignment="1">
      <alignment horizontal="left" vertical="center"/>
    </xf>
    <xf numFmtId="176" fontId="1" fillId="3" borderId="0" xfId="0" applyNumberFormat="1" applyFont="1" applyFill="1" applyAlignment="1">
      <alignment horizontal="left" vertical="center"/>
    </xf>
    <xf numFmtId="176" fontId="1" fillId="0" borderId="0" xfId="0" applyNumberFormat="1" applyFont="1" applyFill="1" applyAlignment="1">
      <alignment horizontal="left" vertical="center"/>
    </xf>
    <xf numFmtId="9" fontId="1" fillId="0" borderId="0" xfId="0" applyNumberFormat="1" applyFont="1" applyFill="1" applyAlignment="1">
      <alignment horizontal="left" vertical="center"/>
    </xf>
    <xf numFmtId="9" fontId="4" fillId="0" borderId="0" xfId="0" applyNumberFormat="1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86"/>
  <sheetViews>
    <sheetView topLeftCell="A45" workbookViewId="0">
      <selection activeCell="E83" sqref="E83"/>
    </sheetView>
  </sheetViews>
  <sheetFormatPr defaultColWidth="9" defaultRowHeight="14.85" customHeight="1" outlineLevelCol="6"/>
  <cols>
    <col min="1" max="1" width="6.71153846153846" style="1" customWidth="1"/>
    <col min="2" max="2" width="65.2884615384615" style="1" customWidth="1"/>
    <col min="3" max="3" width="19.4326923076923" style="12" customWidth="1"/>
    <col min="4" max="4" width="11.7115384615385" style="1" customWidth="1"/>
    <col min="5" max="5" width="60.5673076923077" style="1" customWidth="1"/>
    <col min="6" max="16384" width="9.14423076923077" style="1"/>
  </cols>
  <sheetData>
    <row r="1" customHeight="1" spans="1:5">
      <c r="A1" s="4" t="s">
        <v>0</v>
      </c>
      <c r="B1" s="4" t="s">
        <v>1</v>
      </c>
      <c r="C1" s="13" t="s">
        <v>2</v>
      </c>
      <c r="D1" s="1" t="s">
        <v>3</v>
      </c>
      <c r="E1" s="4" t="s">
        <v>4</v>
      </c>
    </row>
    <row r="2" customHeight="1" spans="1:2">
      <c r="A2" s="4" t="s">
        <v>5</v>
      </c>
      <c r="B2" s="5" t="s">
        <v>6</v>
      </c>
    </row>
    <row r="3" customHeight="1" spans="2:4">
      <c r="B3" s="4" t="s">
        <v>7</v>
      </c>
      <c r="C3" s="14">
        <v>70</v>
      </c>
      <c r="D3" s="1" t="s">
        <v>8</v>
      </c>
    </row>
    <row r="4" customHeight="1" spans="2:5">
      <c r="B4" s="4" t="s">
        <v>9</v>
      </c>
      <c r="C4" s="14">
        <v>40</v>
      </c>
      <c r="D4" s="1" t="s">
        <v>10</v>
      </c>
      <c r="E4" s="4" t="s">
        <v>11</v>
      </c>
    </row>
    <row r="5" customHeight="1" spans="2:5">
      <c r="B5" s="4" t="s">
        <v>12</v>
      </c>
      <c r="C5" s="14">
        <v>2708</v>
      </c>
      <c r="D5" s="1" t="s">
        <v>13</v>
      </c>
      <c r="E5" s="4" t="s">
        <v>14</v>
      </c>
    </row>
    <row r="6" customHeight="1" spans="2:4">
      <c r="B6" s="4" t="s">
        <v>15</v>
      </c>
      <c r="C6" s="12">
        <f>(C5*1000)/C4</f>
        <v>67700</v>
      </c>
      <c r="D6" s="1" t="s">
        <v>8</v>
      </c>
    </row>
    <row r="7" customHeight="1" spans="2:4">
      <c r="B7" s="4" t="s">
        <v>16</v>
      </c>
      <c r="C7" s="12">
        <f>C6/C3</f>
        <v>967.142857142857</v>
      </c>
      <c r="D7" s="1" t="s">
        <v>17</v>
      </c>
    </row>
    <row r="8" customHeight="1" spans="2:4">
      <c r="B8" s="4" t="s">
        <v>18</v>
      </c>
      <c r="C8" s="14">
        <v>10</v>
      </c>
      <c r="D8" s="1" t="s">
        <v>19</v>
      </c>
    </row>
    <row r="9" customHeight="1" spans="2:4">
      <c r="B9" s="4" t="s">
        <v>20</v>
      </c>
      <c r="C9" s="15">
        <f>C6/C8</f>
        <v>6770</v>
      </c>
      <c r="D9" s="1" t="s">
        <v>8</v>
      </c>
    </row>
    <row r="10" customHeight="1" spans="2:4">
      <c r="B10" s="4" t="s">
        <v>21</v>
      </c>
      <c r="C10" s="12">
        <f>C9/C3</f>
        <v>96.7142857142857</v>
      </c>
      <c r="D10" s="1" t="s">
        <v>17</v>
      </c>
    </row>
    <row r="11" customHeight="1" spans="2:4">
      <c r="B11" s="4" t="s">
        <v>22</v>
      </c>
      <c r="C11" s="14">
        <v>96</v>
      </c>
      <c r="D11" s="1" t="s">
        <v>17</v>
      </c>
    </row>
    <row r="12" customHeight="1" spans="2:4">
      <c r="B12" s="4" t="s">
        <v>23</v>
      </c>
      <c r="C12" s="12">
        <f>C11*C8</f>
        <v>960</v>
      </c>
      <c r="D12" s="1" t="s">
        <v>17</v>
      </c>
    </row>
    <row r="13" customHeight="1" spans="2:4">
      <c r="B13" s="4" t="s">
        <v>24</v>
      </c>
      <c r="C13" s="12">
        <f>C12*C3</f>
        <v>67200</v>
      </c>
      <c r="D13" s="1" t="s">
        <v>8</v>
      </c>
    </row>
    <row r="14" customHeight="1" spans="2:4">
      <c r="B14" s="4" t="s">
        <v>25</v>
      </c>
      <c r="C14" s="12">
        <f>(C5/C13)*1000</f>
        <v>40.297619047619</v>
      </c>
      <c r="D14" s="1" t="s">
        <v>10</v>
      </c>
    </row>
    <row r="15" customHeight="1" spans="1:2">
      <c r="A15" s="4" t="s">
        <v>26</v>
      </c>
      <c r="B15" s="8" t="s">
        <v>27</v>
      </c>
    </row>
    <row r="16" customHeight="1" spans="2:5">
      <c r="B16" s="4" t="s">
        <v>28</v>
      </c>
      <c r="C16" s="14">
        <v>28.5</v>
      </c>
      <c r="D16" s="1" t="s">
        <v>29</v>
      </c>
      <c r="E16" s="4"/>
    </row>
    <row r="17" customHeight="1" spans="2:5">
      <c r="B17" s="4" t="s">
        <v>30</v>
      </c>
      <c r="C17" s="14">
        <v>30</v>
      </c>
      <c r="D17" s="1" t="s">
        <v>31</v>
      </c>
      <c r="E17" s="4"/>
    </row>
    <row r="18" customHeight="1" spans="2:5">
      <c r="B18" s="4" t="s">
        <v>32</v>
      </c>
      <c r="C18" s="14">
        <v>20</v>
      </c>
      <c r="D18" s="1" t="s">
        <v>31</v>
      </c>
      <c r="E18" s="4"/>
    </row>
    <row r="19" customHeight="1" spans="2:5">
      <c r="B19" s="4" t="s">
        <v>33</v>
      </c>
      <c r="C19" s="14">
        <v>20</v>
      </c>
      <c r="D19" s="1" t="s">
        <v>31</v>
      </c>
      <c r="E19" s="4"/>
    </row>
    <row r="20" customHeight="1" spans="2:5">
      <c r="B20" s="4" t="s">
        <v>34</v>
      </c>
      <c r="C20" s="14">
        <v>20</v>
      </c>
      <c r="E20" s="4"/>
    </row>
    <row r="21" customHeight="1" spans="2:4">
      <c r="B21" s="4" t="s">
        <v>35</v>
      </c>
      <c r="C21" s="12">
        <f>24*3600/(C16*60+C17+C18+C19)</f>
        <v>48.5393258426966</v>
      </c>
      <c r="D21" s="1" t="s">
        <v>36</v>
      </c>
    </row>
    <row r="22" customHeight="1" spans="2:4">
      <c r="B22" s="4" t="s">
        <v>37</v>
      </c>
      <c r="C22" s="12">
        <f>C21*C16</f>
        <v>1383.37078651685</v>
      </c>
      <c r="D22" s="1" t="s">
        <v>29</v>
      </c>
    </row>
    <row r="23" customHeight="1" spans="2:5">
      <c r="B23" s="4" t="s">
        <v>38</v>
      </c>
      <c r="C23" s="14">
        <v>270</v>
      </c>
      <c r="D23" s="1" t="s">
        <v>13</v>
      </c>
      <c r="E23" s="4"/>
    </row>
    <row r="24" ht="28.5" customHeight="1" spans="2:5">
      <c r="B24" s="11" t="s">
        <v>39</v>
      </c>
      <c r="C24" s="15">
        <f>C23*24*60/C22</f>
        <v>281.052631578947</v>
      </c>
      <c r="D24" s="1" t="s">
        <v>13</v>
      </c>
      <c r="E24" s="4"/>
    </row>
    <row r="25" customHeight="1" spans="2:4">
      <c r="B25" s="4" t="s">
        <v>40</v>
      </c>
      <c r="C25" s="15">
        <v>20</v>
      </c>
      <c r="D25" s="1" t="s">
        <v>10</v>
      </c>
    </row>
    <row r="26" ht="49.5" customHeight="1" spans="2:5">
      <c r="B26" s="4" t="s">
        <v>41</v>
      </c>
      <c r="C26" s="14">
        <v>1.5</v>
      </c>
      <c r="E26" s="11" t="s">
        <v>42</v>
      </c>
    </row>
    <row r="27" customHeight="1" spans="2:4">
      <c r="B27" s="4" t="s">
        <v>43</v>
      </c>
      <c r="C27" s="12">
        <f>C26*C23*(C18+C19)/(3600*24)</f>
        <v>0.1875</v>
      </c>
      <c r="D27" s="1" t="s">
        <v>44</v>
      </c>
    </row>
    <row r="28" customHeight="1" spans="2:4">
      <c r="B28" s="4" t="s">
        <v>45</v>
      </c>
      <c r="C28" s="12">
        <f>C27*C21</f>
        <v>9.10112359550562</v>
      </c>
      <c r="D28" s="1" t="s">
        <v>44</v>
      </c>
    </row>
    <row r="29" customHeight="1" spans="2:4">
      <c r="B29" s="4" t="s">
        <v>46</v>
      </c>
      <c r="C29" s="12">
        <f>(C23/3600)*C20</f>
        <v>1.5</v>
      </c>
      <c r="D29" s="1" t="s">
        <v>44</v>
      </c>
    </row>
    <row r="30" customHeight="1" spans="2:4">
      <c r="B30" s="4" t="s">
        <v>47</v>
      </c>
      <c r="C30" s="12">
        <f>C29*C21</f>
        <v>72.8089887640449</v>
      </c>
      <c r="D30" s="1" t="s">
        <v>44</v>
      </c>
    </row>
    <row r="31" customHeight="1" spans="2:4">
      <c r="B31" s="4" t="s">
        <v>48</v>
      </c>
      <c r="C31" s="12">
        <f>C28/24</f>
        <v>0.379213483146067</v>
      </c>
      <c r="D31" s="1" t="s">
        <v>44</v>
      </c>
    </row>
    <row r="32" customHeight="1" spans="2:4">
      <c r="B32" s="4" t="s">
        <v>49</v>
      </c>
      <c r="C32" s="12">
        <f>C30/24</f>
        <v>3.03370786516854</v>
      </c>
      <c r="D32" s="1" t="s">
        <v>44</v>
      </c>
    </row>
    <row r="33" customHeight="1" spans="2:4">
      <c r="B33" s="4" t="s">
        <v>50</v>
      </c>
      <c r="C33" s="12">
        <f>C24+C31+C32</f>
        <v>284.465552927262</v>
      </c>
      <c r="D33" s="1" t="s">
        <v>13</v>
      </c>
    </row>
    <row r="34" customHeight="1" spans="2:7">
      <c r="B34" s="4" t="s">
        <v>51</v>
      </c>
      <c r="C34" s="14">
        <v>30</v>
      </c>
      <c r="D34" s="1" t="s">
        <v>52</v>
      </c>
      <c r="E34" s="4"/>
      <c r="G34" s="4"/>
    </row>
    <row r="35" customHeight="1" spans="1:2">
      <c r="A35" s="8" t="s">
        <v>53</v>
      </c>
      <c r="B35" s="8" t="s">
        <v>54</v>
      </c>
    </row>
    <row r="36" customHeight="1" spans="2:5">
      <c r="B36" s="4" t="s">
        <v>55</v>
      </c>
      <c r="C36" s="12">
        <f>(3.14/4)*(238/1000)^2*(1600/1000)</f>
        <v>0.071144864</v>
      </c>
      <c r="D36" s="1" t="s">
        <v>44</v>
      </c>
      <c r="E36" s="4" t="s">
        <v>56</v>
      </c>
    </row>
    <row r="37" customHeight="1" spans="2:4">
      <c r="B37" s="4" t="s">
        <v>57</v>
      </c>
      <c r="C37" s="12">
        <f>C36*C11</f>
        <v>6.829906944</v>
      </c>
      <c r="D37" s="1" t="s">
        <v>44</v>
      </c>
    </row>
    <row r="38" customHeight="1" spans="2:4">
      <c r="B38" s="4" t="s">
        <v>58</v>
      </c>
      <c r="C38" s="14">
        <v>30</v>
      </c>
      <c r="D38" s="1" t="s">
        <v>59</v>
      </c>
    </row>
    <row r="39" customHeight="1" spans="2:4">
      <c r="B39" s="4" t="s">
        <v>60</v>
      </c>
      <c r="C39" s="12">
        <f>C37*((1-C38/100))</f>
        <v>4.7809348608</v>
      </c>
      <c r="D39" s="1" t="s">
        <v>44</v>
      </c>
    </row>
    <row r="40" customHeight="1" spans="2:5">
      <c r="B40" s="4" t="s">
        <v>61</v>
      </c>
      <c r="C40" s="14">
        <v>150</v>
      </c>
      <c r="D40" s="1" t="s">
        <v>62</v>
      </c>
      <c r="E40" s="4"/>
    </row>
    <row r="41" customHeight="1" spans="2:5">
      <c r="B41" s="4" t="s">
        <v>63</v>
      </c>
      <c r="C41" s="14">
        <v>40</v>
      </c>
      <c r="D41" s="1" t="s">
        <v>64</v>
      </c>
      <c r="E41" s="4"/>
    </row>
    <row r="42" customHeight="1" spans="2:4">
      <c r="B42" s="4" t="s">
        <v>65</v>
      </c>
      <c r="C42" s="12">
        <f>(3.14/4)*(C40/1000)^2*C41</f>
        <v>0.7065</v>
      </c>
      <c r="D42" s="1" t="s">
        <v>44</v>
      </c>
    </row>
    <row r="43" customHeight="1" spans="2:4">
      <c r="B43" s="4" t="s">
        <v>66</v>
      </c>
      <c r="C43" s="14">
        <v>350</v>
      </c>
      <c r="D43" s="1" t="s">
        <v>62</v>
      </c>
    </row>
    <row r="44" customHeight="1" spans="2:4">
      <c r="B44" s="4" t="s">
        <v>67</v>
      </c>
      <c r="C44" s="14">
        <v>1</v>
      </c>
      <c r="D44" s="1" t="s">
        <v>64</v>
      </c>
    </row>
    <row r="45" customHeight="1" spans="2:4">
      <c r="B45" s="4" t="s">
        <v>68</v>
      </c>
      <c r="C45" s="12">
        <f>(3.14/4)*(C43/1000)^2*C44</f>
        <v>0.0961625</v>
      </c>
      <c r="D45" s="1" t="s">
        <v>44</v>
      </c>
    </row>
    <row r="46" customHeight="1" spans="2:4">
      <c r="B46" s="4" t="s">
        <v>69</v>
      </c>
      <c r="C46" s="12">
        <v>5</v>
      </c>
      <c r="D46" s="1" t="s">
        <v>59</v>
      </c>
    </row>
    <row r="47" customHeight="1" spans="2:4">
      <c r="B47" s="4" t="s">
        <v>70</v>
      </c>
      <c r="C47" s="12">
        <f>C45-C45*(C46/100)</f>
        <v>0.091354375</v>
      </c>
      <c r="D47" s="1" t="s">
        <v>44</v>
      </c>
    </row>
    <row r="48" customHeight="1" spans="2:4">
      <c r="B48" s="4" t="s">
        <v>71</v>
      </c>
      <c r="C48" s="12">
        <f>C47+C42+C39</f>
        <v>5.5787892358</v>
      </c>
      <c r="D48" s="1" t="s">
        <v>44</v>
      </c>
    </row>
    <row r="49" customHeight="1" spans="2:4">
      <c r="B49" s="4" t="s">
        <v>72</v>
      </c>
      <c r="C49" s="12">
        <f>C48*1.2</f>
        <v>6.69454708296</v>
      </c>
      <c r="D49" s="1" t="s">
        <v>44</v>
      </c>
    </row>
    <row r="50" customHeight="1" spans="2:4">
      <c r="B50" s="4" t="s">
        <v>73</v>
      </c>
      <c r="C50" s="12">
        <v>0.5</v>
      </c>
      <c r="D50" s="1" t="s">
        <v>44</v>
      </c>
    </row>
    <row r="51" customHeight="1" spans="2:4">
      <c r="B51" s="4" t="s">
        <v>74</v>
      </c>
      <c r="C51" s="12">
        <f>C50+C49</f>
        <v>7.19454708296</v>
      </c>
      <c r="D51" s="1" t="s">
        <v>44</v>
      </c>
    </row>
    <row r="52" customHeight="1" spans="2:4">
      <c r="B52" s="4" t="s">
        <v>75</v>
      </c>
      <c r="C52" s="14">
        <v>4</v>
      </c>
      <c r="D52" s="1" t="s">
        <v>44</v>
      </c>
    </row>
    <row r="53" customHeight="1" spans="1:2">
      <c r="A53" s="8" t="s">
        <v>76</v>
      </c>
      <c r="B53" s="8" t="s">
        <v>77</v>
      </c>
    </row>
    <row r="54" customHeight="1" spans="2:4">
      <c r="B54" s="4" t="s">
        <v>78</v>
      </c>
      <c r="C54" s="14">
        <v>50</v>
      </c>
      <c r="D54" s="1" t="s">
        <v>79</v>
      </c>
    </row>
    <row r="55" customHeight="1" spans="2:5">
      <c r="B55" s="4" t="s">
        <v>80</v>
      </c>
      <c r="C55" s="12">
        <f>(C26*C54*C23/1000)</f>
        <v>20.25</v>
      </c>
      <c r="D55" s="1" t="s">
        <v>81</v>
      </c>
      <c r="E55" s="4"/>
    </row>
    <row r="56" customHeight="1" spans="2:3">
      <c r="B56" s="4" t="s">
        <v>82</v>
      </c>
      <c r="C56" s="12">
        <v>0.1</v>
      </c>
    </row>
    <row r="57" customHeight="1" spans="2:4">
      <c r="B57" s="4" t="s">
        <v>83</v>
      </c>
      <c r="C57" s="12">
        <f>C55/0.1</f>
        <v>202.5</v>
      </c>
      <c r="D57" s="1" t="s">
        <v>81</v>
      </c>
    </row>
    <row r="58" customHeight="1" spans="2:5">
      <c r="B58" s="4" t="s">
        <v>84</v>
      </c>
      <c r="C58" s="12">
        <f>C57/1.1</f>
        <v>184.090909090909</v>
      </c>
      <c r="D58" s="1" t="s">
        <v>85</v>
      </c>
      <c r="E58" s="16" t="s">
        <v>86</v>
      </c>
    </row>
    <row r="59" customHeight="1" spans="2:5">
      <c r="B59" s="4" t="s">
        <v>87</v>
      </c>
      <c r="C59" s="12">
        <f>(C18+C19)*12/3600</f>
        <v>0.133333333333333</v>
      </c>
      <c r="D59" s="1" t="s">
        <v>88</v>
      </c>
      <c r="E59" s="17"/>
    </row>
    <row r="60" customHeight="1" spans="2:4">
      <c r="B60" s="4" t="s">
        <v>89</v>
      </c>
      <c r="C60" s="12">
        <f>C59*C58</f>
        <v>24.5454545454545</v>
      </c>
      <c r="D60" s="1" t="s">
        <v>90</v>
      </c>
    </row>
    <row r="61" customHeight="1" spans="2:4">
      <c r="B61" s="4" t="s">
        <v>91</v>
      </c>
      <c r="C61" s="12">
        <f>C58</f>
        <v>184.090909090909</v>
      </c>
      <c r="D61" s="1" t="s">
        <v>85</v>
      </c>
    </row>
    <row r="62" customHeight="1" spans="2:4">
      <c r="B62" s="4" t="s">
        <v>92</v>
      </c>
      <c r="C62" s="12">
        <v>50</v>
      </c>
      <c r="D62" s="1" t="s">
        <v>59</v>
      </c>
    </row>
    <row r="63" customHeight="1" spans="2:4">
      <c r="B63" s="4" t="s">
        <v>93</v>
      </c>
      <c r="C63" s="12">
        <f>C61/(C62/100)</f>
        <v>368.181818181818</v>
      </c>
      <c r="D63" s="1" t="s">
        <v>85</v>
      </c>
    </row>
    <row r="64" customHeight="1" spans="2:4">
      <c r="B64" s="4" t="s">
        <v>94</v>
      </c>
      <c r="C64" s="12">
        <f>(C60*1.2/1000)*3*5</f>
        <v>0.441818181818182</v>
      </c>
      <c r="D64" s="1" t="s">
        <v>44</v>
      </c>
    </row>
    <row r="65" customHeight="1" spans="2:5">
      <c r="B65" s="4" t="s">
        <v>95</v>
      </c>
      <c r="C65" s="14">
        <v>120</v>
      </c>
      <c r="D65" s="1" t="s">
        <v>88</v>
      </c>
      <c r="E65" s="4" t="s">
        <v>96</v>
      </c>
    </row>
    <row r="66" customHeight="1" spans="2:4">
      <c r="B66" s="4" t="s">
        <v>97</v>
      </c>
      <c r="C66" s="14">
        <v>0.5</v>
      </c>
      <c r="D66" s="1" t="s">
        <v>44</v>
      </c>
    </row>
    <row r="67" customHeight="1" spans="2:4">
      <c r="B67" s="4" t="s">
        <v>98</v>
      </c>
      <c r="C67" s="14">
        <v>3</v>
      </c>
      <c r="D67" s="1" t="s">
        <v>99</v>
      </c>
    </row>
    <row r="68" customHeight="1" spans="2:5">
      <c r="B68" s="4" t="s">
        <v>100</v>
      </c>
      <c r="C68" s="12">
        <f>(C67*C26*C23/1000)</f>
        <v>1.215</v>
      </c>
      <c r="D68" s="1" t="s">
        <v>81</v>
      </c>
      <c r="E68" s="4" t="s">
        <v>101</v>
      </c>
    </row>
    <row r="69" customHeight="1" spans="2:3">
      <c r="B69" s="4" t="s">
        <v>82</v>
      </c>
      <c r="C69" s="12">
        <v>0.3</v>
      </c>
    </row>
    <row r="70" customHeight="1" spans="2:4">
      <c r="B70" s="4" t="s">
        <v>102</v>
      </c>
      <c r="C70" s="12">
        <f>C68/0.3</f>
        <v>4.05</v>
      </c>
      <c r="D70" s="1" t="s">
        <v>81</v>
      </c>
    </row>
    <row r="71" customHeight="1" spans="2:5">
      <c r="B71" s="4" t="s">
        <v>103</v>
      </c>
      <c r="C71" s="12">
        <f>C70/1.37</f>
        <v>2.95620437956204</v>
      </c>
      <c r="D71" s="1" t="s">
        <v>90</v>
      </c>
      <c r="E71" s="6" t="s">
        <v>104</v>
      </c>
    </row>
    <row r="72" customHeight="1" spans="2:4">
      <c r="B72" s="4" t="s">
        <v>91</v>
      </c>
      <c r="C72" s="12">
        <f>C71</f>
        <v>2.95620437956204</v>
      </c>
      <c r="D72" s="1" t="s">
        <v>85</v>
      </c>
    </row>
    <row r="73" customHeight="1" spans="2:4">
      <c r="B73" s="4" t="s">
        <v>92</v>
      </c>
      <c r="C73" s="12">
        <v>50</v>
      </c>
      <c r="D73" s="1" t="s">
        <v>59</v>
      </c>
    </row>
    <row r="74" customHeight="1" spans="2:4">
      <c r="B74" s="4" t="s">
        <v>93</v>
      </c>
      <c r="C74" s="12">
        <f>C72/(C73/100)</f>
        <v>5.91240875912409</v>
      </c>
      <c r="D74" s="1" t="s">
        <v>85</v>
      </c>
    </row>
    <row r="75" customHeight="1" spans="2:4">
      <c r="B75" s="4" t="s">
        <v>97</v>
      </c>
      <c r="C75" s="14">
        <v>0.5</v>
      </c>
      <c r="D75" s="1" t="s">
        <v>44</v>
      </c>
    </row>
    <row r="76" customHeight="1" spans="2:4">
      <c r="B76" s="4" t="s">
        <v>105</v>
      </c>
      <c r="C76" s="14">
        <v>3</v>
      </c>
      <c r="D76" s="1" t="s">
        <v>99</v>
      </c>
    </row>
    <row r="77" customHeight="1" spans="2:5">
      <c r="B77" s="4" t="s">
        <v>106</v>
      </c>
      <c r="C77" s="12">
        <f>(C23*C76*C26/1000)</f>
        <v>1.215</v>
      </c>
      <c r="D77" s="1" t="s">
        <v>81</v>
      </c>
      <c r="E77" s="4" t="s">
        <v>101</v>
      </c>
    </row>
    <row r="78" customHeight="1" spans="2:3">
      <c r="B78" s="4" t="s">
        <v>82</v>
      </c>
      <c r="C78" s="12">
        <v>0.3</v>
      </c>
    </row>
    <row r="79" customHeight="1" spans="2:4">
      <c r="B79" s="4" t="s">
        <v>107</v>
      </c>
      <c r="C79" s="12">
        <f>C77/0.3</f>
        <v>4.05</v>
      </c>
      <c r="D79" s="1" t="s">
        <v>85</v>
      </c>
    </row>
    <row r="80" customHeight="1" spans="2:5">
      <c r="B80" s="4" t="s">
        <v>108</v>
      </c>
      <c r="C80" s="12">
        <f>C79/1.149</f>
        <v>3.52480417754569</v>
      </c>
      <c r="D80" s="1" t="s">
        <v>90</v>
      </c>
      <c r="E80" s="6" t="s">
        <v>109</v>
      </c>
    </row>
    <row r="81" customHeight="1" spans="2:5">
      <c r="B81" s="4" t="s">
        <v>87</v>
      </c>
      <c r="C81" s="12">
        <f>C17*12/3600</f>
        <v>0.1</v>
      </c>
      <c r="D81" s="1" t="s">
        <v>88</v>
      </c>
      <c r="E81" s="18"/>
    </row>
    <row r="82" customHeight="1" spans="2:5">
      <c r="B82" s="4" t="s">
        <v>110</v>
      </c>
      <c r="C82" s="12">
        <f>C81*C80</f>
        <v>0.352480417754569</v>
      </c>
      <c r="D82" s="1" t="s">
        <v>90</v>
      </c>
      <c r="E82" s="6"/>
    </row>
    <row r="83" customHeight="1" spans="2:4">
      <c r="B83" s="4" t="s">
        <v>91</v>
      </c>
      <c r="C83" s="12">
        <f>C80</f>
        <v>3.52480417754569</v>
      </c>
      <c r="D83" s="1" t="s">
        <v>85</v>
      </c>
    </row>
    <row r="84" customHeight="1" spans="2:4">
      <c r="B84" s="4" t="s">
        <v>92</v>
      </c>
      <c r="C84" s="12">
        <v>50</v>
      </c>
      <c r="D84" s="1" t="s">
        <v>59</v>
      </c>
    </row>
    <row r="85" ht="14.25" customHeight="1" spans="2:4">
      <c r="B85" s="4" t="s">
        <v>93</v>
      </c>
      <c r="C85" s="12">
        <f>C83/(C84/100)</f>
        <v>7.04960835509138</v>
      </c>
      <c r="D85" s="1" t="s">
        <v>85</v>
      </c>
    </row>
    <row r="86" customHeight="1" spans="2:4">
      <c r="B86" s="4" t="s">
        <v>97</v>
      </c>
      <c r="C86" s="14">
        <v>0.5</v>
      </c>
      <c r="D86" s="1" t="s">
        <v>44</v>
      </c>
    </row>
  </sheetData>
  <pageMargins left="0.75" right="0.75" top="1" bottom="1" header="0.5" footer="0.5"/>
  <pageSetup paperSize="9" firstPageNumber="4294963191" orientation="portrait" useFirstPageNumber="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E56"/>
  <sheetViews>
    <sheetView tabSelected="1" zoomScale="115" zoomScaleNormal="115" workbookViewId="0">
      <selection activeCell="G24" sqref="G24"/>
    </sheetView>
  </sheetViews>
  <sheetFormatPr defaultColWidth="9" defaultRowHeight="14.85" customHeight="1" outlineLevelCol="4"/>
  <cols>
    <col min="1" max="1" width="6.71153846153846" style="1" customWidth="1"/>
    <col min="2" max="2" width="60.125" style="1" customWidth="1"/>
    <col min="3" max="3" width="10.7115384615385" style="1" customWidth="1"/>
    <col min="4" max="4" width="10.2884615384615" style="1" customWidth="1"/>
    <col min="5" max="5" width="45.7115384615385" style="1" customWidth="1"/>
    <col min="6" max="16384" width="9.14423076923077" style="1"/>
  </cols>
  <sheetData>
    <row r="1" customHeight="1" spans="1:5">
      <c r="A1" s="2" t="s">
        <v>111</v>
      </c>
      <c r="B1" s="3"/>
      <c r="C1" s="3"/>
      <c r="D1" s="3"/>
      <c r="E1" s="3"/>
    </row>
    <row r="2" customHeight="1" spans="1: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</row>
    <row r="3" customHeight="1" spans="1:2">
      <c r="A3" s="4" t="s">
        <v>5</v>
      </c>
      <c r="B3" s="5" t="s">
        <v>112</v>
      </c>
    </row>
    <row r="4" customHeight="1" spans="2:4">
      <c r="B4" s="4" t="s">
        <v>113</v>
      </c>
      <c r="C4" s="6">
        <f>(3.14/4)*(203/1000)^2*6</f>
        <v>0.19409439</v>
      </c>
      <c r="D4" s="1" t="s">
        <v>44</v>
      </c>
    </row>
    <row r="5" customHeight="1" spans="2:5">
      <c r="B5" s="4" t="s">
        <v>114</v>
      </c>
      <c r="C5" s="7">
        <v>16</v>
      </c>
      <c r="D5" s="4" t="s">
        <v>115</v>
      </c>
      <c r="E5" s="4" t="s">
        <v>116</v>
      </c>
    </row>
    <row r="6" customHeight="1" spans="2:4">
      <c r="B6" s="4" t="s">
        <v>117</v>
      </c>
      <c r="C6" s="1">
        <f>C5*C4</f>
        <v>3.10551024</v>
      </c>
      <c r="D6" s="1" t="s">
        <v>44</v>
      </c>
    </row>
    <row r="7" customHeight="1" spans="2:4">
      <c r="B7" s="4" t="s">
        <v>118</v>
      </c>
      <c r="C7" s="1">
        <v>30</v>
      </c>
      <c r="D7" s="1" t="s">
        <v>59</v>
      </c>
    </row>
    <row r="8" customHeight="1" spans="2:5">
      <c r="B8" s="4" t="s">
        <v>119</v>
      </c>
      <c r="C8" s="1">
        <f>C6*(1-C7/100)</f>
        <v>2.173857168</v>
      </c>
      <c r="D8" s="1" t="s">
        <v>44</v>
      </c>
      <c r="E8" s="4" t="s">
        <v>120</v>
      </c>
    </row>
    <row r="9" customHeight="1" spans="2:4">
      <c r="B9" s="4" t="s">
        <v>121</v>
      </c>
      <c r="C9" s="7">
        <v>150</v>
      </c>
      <c r="D9" s="1" t="s">
        <v>62</v>
      </c>
    </row>
    <row r="10" customHeight="1" spans="2:4">
      <c r="B10" s="4" t="s">
        <v>122</v>
      </c>
      <c r="C10" s="7">
        <v>30</v>
      </c>
      <c r="D10" s="1" t="s">
        <v>64</v>
      </c>
    </row>
    <row r="11" customHeight="1" spans="2:4">
      <c r="B11" s="4" t="s">
        <v>123</v>
      </c>
      <c r="C11" s="1">
        <f>(3.14/4)*(C9/1000)^2*C10</f>
        <v>0.529875</v>
      </c>
      <c r="D11" s="1" t="s">
        <v>44</v>
      </c>
    </row>
    <row r="12" customHeight="1" spans="2:5">
      <c r="B12" s="4" t="s">
        <v>124</v>
      </c>
      <c r="C12" s="1">
        <v>400</v>
      </c>
      <c r="D12" s="1" t="s">
        <v>62</v>
      </c>
      <c r="E12" s="4"/>
    </row>
    <row r="13" customHeight="1" spans="2:4">
      <c r="B13" s="4" t="s">
        <v>67</v>
      </c>
      <c r="C13" s="1">
        <v>1</v>
      </c>
      <c r="D13" s="1" t="s">
        <v>64</v>
      </c>
    </row>
    <row r="14" customHeight="1" spans="2:4">
      <c r="B14" s="4" t="s">
        <v>125</v>
      </c>
      <c r="C14" s="1">
        <f>(3.14/4)*(C12/1000)^2*C13</f>
        <v>0.1256</v>
      </c>
      <c r="D14" s="1" t="s">
        <v>44</v>
      </c>
    </row>
    <row r="15" customHeight="1" spans="2:4">
      <c r="B15" s="4" t="s">
        <v>126</v>
      </c>
      <c r="C15" s="1">
        <v>5</v>
      </c>
      <c r="D15" s="1" t="s">
        <v>59</v>
      </c>
    </row>
    <row r="16" customHeight="1" spans="2:4">
      <c r="B16" s="4" t="s">
        <v>127</v>
      </c>
      <c r="C16" s="1">
        <f>C14*(1-C15/100)</f>
        <v>0.11932</v>
      </c>
      <c r="D16" s="1" t="s">
        <v>44</v>
      </c>
    </row>
    <row r="17" customHeight="1" spans="2:4">
      <c r="B17" s="4" t="s">
        <v>128</v>
      </c>
      <c r="C17" s="1">
        <f>C16+C11+C8</f>
        <v>2.823052168</v>
      </c>
      <c r="D17" s="1" t="s">
        <v>44</v>
      </c>
    </row>
    <row r="18" customHeight="1" spans="2:5">
      <c r="B18" s="4" t="s">
        <v>129</v>
      </c>
      <c r="C18" s="1">
        <f>C17*1.2</f>
        <v>3.3876626016</v>
      </c>
      <c r="D18" s="1" t="s">
        <v>44</v>
      </c>
      <c r="E18" s="4" t="s">
        <v>130</v>
      </c>
    </row>
    <row r="19" customHeight="1" spans="2:4">
      <c r="B19" s="4" t="s">
        <v>131</v>
      </c>
      <c r="C19" s="7">
        <v>0.5</v>
      </c>
      <c r="D19" s="1" t="s">
        <v>44</v>
      </c>
    </row>
    <row r="20" customHeight="1" spans="2:4">
      <c r="B20" s="4" t="s">
        <v>132</v>
      </c>
      <c r="C20" s="1">
        <f>C19+C18</f>
        <v>3.8876626016</v>
      </c>
      <c r="D20" s="1" t="s">
        <v>44</v>
      </c>
    </row>
    <row r="21" ht="26.25" customHeight="1" spans="2:5">
      <c r="B21" s="4" t="s">
        <v>133</v>
      </c>
      <c r="C21" s="7">
        <v>4</v>
      </c>
      <c r="D21" s="1" t="s">
        <v>44</v>
      </c>
      <c r="E21" s="10"/>
    </row>
    <row r="22" customHeight="1" spans="1:2">
      <c r="A22" s="8" t="s">
        <v>26</v>
      </c>
      <c r="B22" s="8" t="s">
        <v>134</v>
      </c>
    </row>
    <row r="23" customHeight="1" spans="2:4">
      <c r="B23" s="4" t="s">
        <v>135</v>
      </c>
      <c r="C23" s="7">
        <v>8</v>
      </c>
      <c r="D23" s="1" t="s">
        <v>13</v>
      </c>
    </row>
    <row r="24" customHeight="1" spans="2:4">
      <c r="B24" s="4" t="s">
        <v>136</v>
      </c>
      <c r="C24" s="7">
        <v>16</v>
      </c>
      <c r="D24" s="4" t="s">
        <v>115</v>
      </c>
    </row>
    <row r="25" customHeight="1" spans="2:4">
      <c r="B25" s="4" t="s">
        <v>137</v>
      </c>
      <c r="C25" s="1">
        <f>C23*C24</f>
        <v>128</v>
      </c>
      <c r="D25" s="1" t="s">
        <v>13</v>
      </c>
    </row>
    <row r="26" customHeight="1" spans="1:2">
      <c r="A26" s="8" t="s">
        <v>53</v>
      </c>
      <c r="B26" s="9" t="s">
        <v>138</v>
      </c>
    </row>
    <row r="27" customHeight="1" spans="1:5">
      <c r="A27" s="1">
        <v>3.1</v>
      </c>
      <c r="B27" s="8" t="s">
        <v>139</v>
      </c>
      <c r="C27" s="7">
        <v>5</v>
      </c>
      <c r="D27" s="1" t="s">
        <v>99</v>
      </c>
      <c r="E27" s="8"/>
    </row>
    <row r="28" ht="32.25" customHeight="1" spans="2:5">
      <c r="B28" s="4" t="s">
        <v>140</v>
      </c>
      <c r="C28" s="1">
        <f>(390*C27/1000)</f>
        <v>1.95</v>
      </c>
      <c r="D28" s="1" t="s">
        <v>81</v>
      </c>
      <c r="E28" s="11"/>
    </row>
    <row r="29" customHeight="1" spans="2:2">
      <c r="B29" s="4" t="s">
        <v>141</v>
      </c>
    </row>
    <row r="30" customHeight="1" spans="2:4">
      <c r="B30" s="4" t="s">
        <v>142</v>
      </c>
      <c r="C30" s="1">
        <f>C28/0.1</f>
        <v>19.5</v>
      </c>
      <c r="D30" s="1" t="s">
        <v>85</v>
      </c>
    </row>
    <row r="31" customHeight="1" spans="2:4">
      <c r="B31" s="4" t="s">
        <v>143</v>
      </c>
      <c r="C31" s="1">
        <f>C30</f>
        <v>19.5</v>
      </c>
      <c r="D31" s="1" t="s">
        <v>85</v>
      </c>
    </row>
    <row r="32" customHeight="1" spans="2:4">
      <c r="B32" s="4" t="s">
        <v>144</v>
      </c>
      <c r="C32" s="1">
        <v>50</v>
      </c>
      <c r="D32" s="1" t="s">
        <v>59</v>
      </c>
    </row>
    <row r="33" customHeight="1" spans="2:4">
      <c r="B33" s="4" t="s">
        <v>145</v>
      </c>
      <c r="C33" s="1">
        <f>C31/(C32/100)</f>
        <v>39</v>
      </c>
      <c r="D33" s="1" t="s">
        <v>85</v>
      </c>
    </row>
    <row r="34" customHeight="1" spans="2:4">
      <c r="B34" s="4" t="s">
        <v>146</v>
      </c>
      <c r="C34" s="1">
        <f>C33/1000</f>
        <v>0.039</v>
      </c>
      <c r="D34" s="1" t="s">
        <v>44</v>
      </c>
    </row>
    <row r="35" customHeight="1" spans="2:4">
      <c r="B35" s="4" t="s">
        <v>147</v>
      </c>
      <c r="C35" s="7">
        <v>0.5</v>
      </c>
      <c r="D35" s="1" t="s">
        <v>44</v>
      </c>
    </row>
    <row r="36" ht="29.25" customHeight="1" spans="1:5">
      <c r="A36" s="1">
        <v>3.2</v>
      </c>
      <c r="B36" s="8" t="s">
        <v>148</v>
      </c>
      <c r="C36" s="7">
        <v>5</v>
      </c>
      <c r="D36" s="1" t="s">
        <v>99</v>
      </c>
      <c r="E36" s="10"/>
    </row>
    <row r="37" customHeight="1" spans="2:4">
      <c r="B37" s="4" t="s">
        <v>149</v>
      </c>
      <c r="C37" s="1">
        <f>(390*C36/1000)*24</f>
        <v>46.8</v>
      </c>
      <c r="D37" s="1" t="s">
        <v>150</v>
      </c>
    </row>
    <row r="38" customHeight="1" spans="2:4">
      <c r="B38" s="4" t="s">
        <v>151</v>
      </c>
      <c r="C38" s="1">
        <f>C37/24</f>
        <v>1.95</v>
      </c>
      <c r="D38" s="1" t="s">
        <v>81</v>
      </c>
    </row>
    <row r="39" customHeight="1" spans="2:4">
      <c r="B39" s="4" t="s">
        <v>152</v>
      </c>
      <c r="C39" s="1">
        <f>C38/0.1</f>
        <v>19.5</v>
      </c>
      <c r="D39" s="1" t="s">
        <v>85</v>
      </c>
    </row>
    <row r="40" customHeight="1" spans="2:4">
      <c r="B40" s="4" t="s">
        <v>151</v>
      </c>
      <c r="C40" s="1">
        <f>C39*24</f>
        <v>468</v>
      </c>
      <c r="D40" s="1" t="s">
        <v>153</v>
      </c>
    </row>
    <row r="41" customHeight="1" spans="2:4">
      <c r="B41" s="4" t="s">
        <v>143</v>
      </c>
      <c r="C41" s="1">
        <f>C39</f>
        <v>19.5</v>
      </c>
      <c r="D41" s="1" t="s">
        <v>85</v>
      </c>
    </row>
    <row r="42" customHeight="1" spans="2:4">
      <c r="B42" s="4" t="s">
        <v>144</v>
      </c>
      <c r="C42" s="1">
        <v>50</v>
      </c>
      <c r="D42" s="1" t="s">
        <v>59</v>
      </c>
    </row>
    <row r="43" customHeight="1" spans="2:4">
      <c r="B43" s="4" t="s">
        <v>145</v>
      </c>
      <c r="C43" s="1">
        <f>C41/(C42/100)</f>
        <v>39</v>
      </c>
      <c r="D43" s="1" t="s">
        <v>85</v>
      </c>
    </row>
    <row r="44" customHeight="1" spans="2:4">
      <c r="B44" s="4" t="s">
        <v>154</v>
      </c>
      <c r="C44" s="1">
        <f>C40*1.2*2/1000</f>
        <v>1.1232</v>
      </c>
      <c r="D44" s="1" t="s">
        <v>44</v>
      </c>
    </row>
    <row r="45" customHeight="1" spans="2:5">
      <c r="B45" s="4" t="s">
        <v>155</v>
      </c>
      <c r="C45" s="7">
        <v>2</v>
      </c>
      <c r="D45" s="1" t="s">
        <v>44</v>
      </c>
      <c r="E45" s="4"/>
    </row>
    <row r="46" ht="18.75" customHeight="1" spans="1:5">
      <c r="A46" s="1">
        <v>3.2</v>
      </c>
      <c r="B46" s="8" t="s">
        <v>156</v>
      </c>
      <c r="C46" s="7">
        <v>3</v>
      </c>
      <c r="D46" s="1" t="s">
        <v>99</v>
      </c>
      <c r="E46" s="10"/>
    </row>
    <row r="47" customHeight="1" spans="2:4">
      <c r="B47" s="4" t="s">
        <v>157</v>
      </c>
      <c r="C47" s="1">
        <f>(130*C46/1000)*24</f>
        <v>9.36</v>
      </c>
      <c r="D47" s="1" t="s">
        <v>150</v>
      </c>
    </row>
    <row r="48" customHeight="1" spans="2:4">
      <c r="B48" s="4" t="s">
        <v>151</v>
      </c>
      <c r="C48" s="1">
        <f>C47/24</f>
        <v>0.39</v>
      </c>
      <c r="D48" s="1" t="s">
        <v>81</v>
      </c>
    </row>
    <row r="49" customHeight="1" spans="2:5">
      <c r="B49" s="4" t="s">
        <v>158</v>
      </c>
      <c r="C49" s="1">
        <f>C48/0.1</f>
        <v>3.9</v>
      </c>
      <c r="D49" s="1" t="s">
        <v>81</v>
      </c>
      <c r="E49" s="4" t="s">
        <v>159</v>
      </c>
    </row>
    <row r="50" customHeight="1" spans="2:4">
      <c r="B50" s="4" t="s">
        <v>158</v>
      </c>
      <c r="C50" s="1">
        <f>C49/1.37</f>
        <v>2.84671532846715</v>
      </c>
      <c r="D50" s="1" t="s">
        <v>85</v>
      </c>
    </row>
    <row r="51" customHeight="1" spans="2:4">
      <c r="B51" s="4" t="s">
        <v>151</v>
      </c>
      <c r="C51" s="1">
        <f>C50*24</f>
        <v>68.3211678832117</v>
      </c>
      <c r="D51" s="1" t="s">
        <v>153</v>
      </c>
    </row>
    <row r="52" customHeight="1" spans="2:4">
      <c r="B52" s="4" t="s">
        <v>143</v>
      </c>
      <c r="C52" s="1">
        <f>C50</f>
        <v>2.84671532846715</v>
      </c>
      <c r="D52" s="1" t="s">
        <v>85</v>
      </c>
    </row>
    <row r="53" customHeight="1" spans="2:4">
      <c r="B53" s="4" t="s">
        <v>144</v>
      </c>
      <c r="C53" s="1">
        <v>50</v>
      </c>
      <c r="D53" s="1" t="s">
        <v>59</v>
      </c>
    </row>
    <row r="54" customHeight="1" spans="2:4">
      <c r="B54" s="4" t="s">
        <v>145</v>
      </c>
      <c r="C54" s="1">
        <f>C52/(C53/100)</f>
        <v>5.69343065693431</v>
      </c>
      <c r="D54" s="1" t="s">
        <v>85</v>
      </c>
    </row>
    <row r="55" customHeight="1" spans="2:4">
      <c r="B55" s="4" t="s">
        <v>160</v>
      </c>
      <c r="C55" s="1">
        <f>C51*1.2*3*2/1000</f>
        <v>0.491912408759124</v>
      </c>
      <c r="D55" s="1" t="s">
        <v>44</v>
      </c>
    </row>
    <row r="56" customHeight="1" spans="2:5">
      <c r="B56" s="4" t="s">
        <v>155</v>
      </c>
      <c r="C56" s="7">
        <v>0.5</v>
      </c>
      <c r="D56" s="1" t="s">
        <v>44</v>
      </c>
      <c r="E56" s="4"/>
    </row>
  </sheetData>
  <mergeCells count="1">
    <mergeCell ref="A1:E1"/>
  </mergeCells>
  <pageMargins left="0.75" right="0.75" top="1" bottom="1" header="0.5" footer="0.5"/>
  <pageSetup paperSize="9" firstPageNumber="4294963191" orientation="portrait" useFirstPageNumber="1" horizontalDpi="180" verticalDpi="18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UF Calculation</vt:lpstr>
      <vt:lpstr>RO Calculation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水处理工艺计算软件</dc:title>
  <dc:creator>刘勇锋</dc:creator>
  <cp:lastModifiedBy>般若</cp:lastModifiedBy>
  <dcterms:created xsi:type="dcterms:W3CDTF">2010-12-03T12:32:00Z</dcterms:created>
  <cp:lastPrinted>2012-03-03T12:48:00Z</cp:lastPrinted>
  <dcterms:modified xsi:type="dcterms:W3CDTF">2025-09-25T18:38:41Z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2052-12.1.22553.22553</vt:lpwstr>
  </property>
  <property fmtid="{D5CDD505-2E9C-101B-9397-08002B2CF9AE}" pid="3" name="ICV">
    <vt:lpwstr>BF0FE731B17A41AEA1DB2263ADC9F16A_13</vt:lpwstr>
  </property>
</Properties>
</file>